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Waveguide Horn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<sst xmlns="http://schemas.openxmlformats.org/spreadsheetml/2006/main" count="58" uniqueCount="46">
  <si>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=</t>
  </si>
  <si>
    <t>cm</t>
  </si>
  <si>
    <t>Lower Cutoff Frequency</t>
  </si>
  <si>
    <t>Upper Mode Frequency</t>
  </si>
  <si>
    <t>Frequency</t>
  </si>
  <si>
    <t>Gain</t>
  </si>
  <si>
    <t>dBi</t>
  </si>
  <si>
    <t>dBd</t>
  </si>
  <si>
    <t>3 dB Beamwidth</t>
  </si>
  <si>
    <t>e-field</t>
  </si>
  <si>
    <t>h-field</t>
  </si>
  <si>
    <t>L1</t>
  </si>
  <si>
    <t>L2</t>
  </si>
  <si>
    <t>MHz</t>
  </si>
  <si>
    <t>(MHz)</t>
  </si>
  <si>
    <t>Y</t>
  </si>
  <si>
    <t>X</t>
  </si>
  <si>
    <t>B</t>
  </si>
  <si>
    <t>A</t>
  </si>
  <si>
    <t>R0</t>
  </si>
  <si>
    <t>R1</t>
  </si>
  <si>
    <t>Wavelength</t>
  </si>
  <si>
    <t xml:space="preserve"> (in)</t>
  </si>
  <si>
    <t>(cm)</t>
  </si>
  <si>
    <t>in =</t>
  </si>
  <si>
    <t>Enter e-field waveguide inside dimension:</t>
  </si>
  <si>
    <t>Enter h-field waveguide inside dimension:</t>
  </si>
  <si>
    <t>Enter e-field horn aperture dimension:</t>
  </si>
  <si>
    <t>Enter h-field horn aperture dimension:</t>
  </si>
  <si>
    <t>Enter slant Length of the e-field face:</t>
  </si>
  <si>
    <t>Enter slant Length of the h-field face:</t>
  </si>
  <si>
    <t xml:space="preserve">Note: </t>
  </si>
  <si>
    <t>Default dimensions above are for the Ewen Horn at NRAO Green Bank WV</t>
  </si>
  <si>
    <t>(e)</t>
  </si>
  <si>
    <t>(h)</t>
  </si>
  <si>
    <t>(E)</t>
  </si>
  <si>
    <t>(H)</t>
  </si>
  <si>
    <t>(Le)</t>
  </si>
  <si>
    <t>(Lh)</t>
  </si>
  <si>
    <t>Pyramidal Waveguide Horn Antenna Analysis Program</t>
  </si>
  <si>
    <t xml:space="preserve"> July 1987, p. 150</t>
  </si>
  <si>
    <t>based on "Horngain.bas"</t>
  </si>
  <si>
    <t>Proceedings of the 21st Central States VHF Conference</t>
  </si>
  <si>
    <t>by H. Paul Shuch, Ph.D.</t>
  </si>
  <si>
    <t>Microcomm spreadsheet copyright © 2003 by H. Paul Shuch, Ph.D.</t>
  </si>
  <si>
    <t xml:space="preserve">rev.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</si>
</sst>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d\-mmm\-yyyy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2" fontId="4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13</xdr:col>
      <xdr:colOff>381000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3333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14</xdr:row>
      <xdr:rowOff>38100</xdr:rowOff>
    </xdr:from>
    <xdr:to>
      <xdr:col>14</xdr:col>
      <xdr:colOff>66675</xdr:colOff>
      <xdr:row>24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305050"/>
          <a:ext cx="32194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12.7109375" style="0" customWidth="1"/>
    <col min="2" max="2" width="5.28125" style="0" customWidth="1"/>
    <col min="3" max="3" width="7.28125" style="0" customWidth="1"/>
    <col min="4" max="4" width="9.28125" style="0" customWidth="1"/>
    <col min="5" max="5" width="8.7109375" style="0" customWidth="1"/>
    <col min="6" max="6" width="8.00390625" style="0" customWidth="1"/>
    <col min="7" max="7" width="8.140625" style="0" customWidth="1"/>
    <col min="9" max="9" width="8.7109375" style="0" customWidth="1"/>
    <col min="10" max="10" width="0.13671875" style="0" hidden="1" customWidth="1"/>
    <col min="11" max="11" width="4.00390625" style="0" hidden="1" customWidth="1"/>
    <col min="14" max="14" width="11.28125" style="0" bestFit="1" customWidth="1"/>
  </cols>
  <sheetData>
    <row r="1" ht="12.75">
      <c r="A1" s="1" t="s">
        <v>39</v>
      </c>
    </row>
    <row r="2" spans="1:4" ht="12.75">
      <c r="A2" s="1" t="s">
        <v>43</v>
      </c>
      <c r="D2" s="1" t="s">
        <v>41</v>
      </c>
    </row>
    <row r="3" ht="12.75">
      <c r="A3" s="6" t="s">
        <v>42</v>
      </c>
    </row>
    <row r="4" spans="1:7" ht="12.75">
      <c r="A4" s="6"/>
      <c r="B4" s="1" t="s">
        <v>40</v>
      </c>
      <c r="G4" s="1"/>
    </row>
    <row r="5" spans="1:7" ht="12.75">
      <c r="A5" s="6"/>
      <c r="G5" s="1"/>
    </row>
    <row r="7" spans="1:12" ht="12.75">
      <c r="A7" s="16" t="s">
        <v>25</v>
      </c>
      <c r="B7" s="16"/>
      <c r="C7" s="16"/>
      <c r="D7" s="16"/>
      <c r="F7" s="19">
        <v>3.25</v>
      </c>
      <c r="G7" s="5" t="s">
        <v>24</v>
      </c>
      <c r="H7" s="2">
        <f aca="true" t="shared" si="0" ref="H7:H12">F7*2.54</f>
        <v>8.255</v>
      </c>
      <c r="I7" s="5" t="s">
        <v>1</v>
      </c>
      <c r="J7" s="3" t="s">
        <v>15</v>
      </c>
      <c r="L7" s="3" t="s">
        <v>33</v>
      </c>
    </row>
    <row r="8" spans="1:12" ht="12.75">
      <c r="A8" s="16" t="s">
        <v>26</v>
      </c>
      <c r="B8" s="16"/>
      <c r="C8" s="16"/>
      <c r="D8" s="16"/>
      <c r="F8" s="19">
        <v>6.5</v>
      </c>
      <c r="G8" s="5" t="s">
        <v>24</v>
      </c>
      <c r="H8" s="2">
        <f t="shared" si="0"/>
        <v>16.51</v>
      </c>
      <c r="I8" s="5" t="s">
        <v>1</v>
      </c>
      <c r="J8" s="3" t="s">
        <v>16</v>
      </c>
      <c r="L8" s="3" t="s">
        <v>34</v>
      </c>
    </row>
    <row r="9" spans="1:12" ht="12.75">
      <c r="A9" s="16" t="s">
        <v>27</v>
      </c>
      <c r="B9" s="16"/>
      <c r="C9" s="16"/>
      <c r="D9" s="16"/>
      <c r="F9" s="19">
        <v>45</v>
      </c>
      <c r="G9" s="5" t="s">
        <v>24</v>
      </c>
      <c r="H9" s="2">
        <f t="shared" si="0"/>
        <v>114.3</v>
      </c>
      <c r="I9" s="5" t="s">
        <v>1</v>
      </c>
      <c r="J9" s="3" t="s">
        <v>17</v>
      </c>
      <c r="L9" s="3" t="s">
        <v>35</v>
      </c>
    </row>
    <row r="10" spans="1:12" ht="12.75">
      <c r="A10" s="16" t="s">
        <v>28</v>
      </c>
      <c r="B10" s="16"/>
      <c r="C10" s="16"/>
      <c r="D10" s="16"/>
      <c r="F10" s="19">
        <v>56</v>
      </c>
      <c r="G10" s="5" t="s">
        <v>24</v>
      </c>
      <c r="H10" s="2">
        <f t="shared" si="0"/>
        <v>142.24</v>
      </c>
      <c r="I10" s="5" t="s">
        <v>1</v>
      </c>
      <c r="J10" s="3" t="s">
        <v>18</v>
      </c>
      <c r="L10" s="3" t="s">
        <v>36</v>
      </c>
    </row>
    <row r="11" spans="1:12" ht="12.75">
      <c r="A11" s="16" t="s">
        <v>29</v>
      </c>
      <c r="B11" s="16"/>
      <c r="C11" s="16"/>
      <c r="D11" s="16"/>
      <c r="F11" s="19">
        <v>120</v>
      </c>
      <c r="G11" s="5" t="s">
        <v>24</v>
      </c>
      <c r="H11" s="2">
        <f t="shared" si="0"/>
        <v>304.8</v>
      </c>
      <c r="I11" s="5" t="s">
        <v>1</v>
      </c>
      <c r="J11" s="3" t="s">
        <v>19</v>
      </c>
      <c r="L11" s="3" t="s">
        <v>37</v>
      </c>
    </row>
    <row r="12" spans="1:12" ht="12.75">
      <c r="A12" s="16" t="s">
        <v>30</v>
      </c>
      <c r="B12" s="16"/>
      <c r="C12" s="16"/>
      <c r="D12" s="16"/>
      <c r="F12" s="19">
        <v>120</v>
      </c>
      <c r="G12" s="5" t="s">
        <v>24</v>
      </c>
      <c r="H12" s="2">
        <f t="shared" si="0"/>
        <v>304.8</v>
      </c>
      <c r="I12" s="5" t="s">
        <v>1</v>
      </c>
      <c r="J12" s="3" t="s">
        <v>20</v>
      </c>
      <c r="L12" s="3" t="s">
        <v>38</v>
      </c>
    </row>
    <row r="14" ht="12.75">
      <c r="B14" s="1"/>
    </row>
    <row r="15" spans="1:7" ht="12.75">
      <c r="A15" s="1" t="s">
        <v>2</v>
      </c>
      <c r="B15" s="1"/>
      <c r="C15" s="1"/>
      <c r="D15" s="5" t="s">
        <v>0</v>
      </c>
      <c r="E15" s="10">
        <f>15000/H8</f>
        <v>908.5402786190186</v>
      </c>
      <c r="F15" s="5" t="s">
        <v>13</v>
      </c>
      <c r="G15" s="3"/>
    </row>
    <row r="16" spans="1:7" ht="12.75">
      <c r="A16" s="1" t="s">
        <v>3</v>
      </c>
      <c r="B16" s="1"/>
      <c r="C16" s="1"/>
      <c r="D16" s="5" t="s">
        <v>0</v>
      </c>
      <c r="E16" s="10">
        <f>15000/H7</f>
        <v>1817.0805572380373</v>
      </c>
      <c r="F16" s="5" t="s">
        <v>13</v>
      </c>
      <c r="G16" s="3"/>
    </row>
    <row r="18" spans="1:6" ht="12.75">
      <c r="A18" s="5" t="s">
        <v>4</v>
      </c>
      <c r="B18" s="12" t="s">
        <v>21</v>
      </c>
      <c r="D18" s="1"/>
      <c r="E18" s="6" t="s">
        <v>5</v>
      </c>
      <c r="F18" s="6" t="s">
        <v>8</v>
      </c>
    </row>
    <row r="19" spans="1:12" ht="12.75">
      <c r="A19" s="7" t="s">
        <v>14</v>
      </c>
      <c r="B19" s="7" t="s">
        <v>23</v>
      </c>
      <c r="C19" s="7" t="s">
        <v>22</v>
      </c>
      <c r="D19" s="8" t="s">
        <v>6</v>
      </c>
      <c r="E19" s="7" t="s">
        <v>7</v>
      </c>
      <c r="F19" s="8" t="s">
        <v>9</v>
      </c>
      <c r="G19" s="8" t="s">
        <v>10</v>
      </c>
      <c r="J19" s="6" t="s">
        <v>11</v>
      </c>
      <c r="K19" s="6" t="s">
        <v>12</v>
      </c>
      <c r="L19" s="8"/>
    </row>
    <row r="20" spans="1:12" ht="12.75">
      <c r="A20" s="13">
        <f>(E15*1.15)</f>
        <v>1044.8213204118713</v>
      </c>
      <c r="B20" s="4">
        <f>30000/A20</f>
        <v>28.71304347826088</v>
      </c>
      <c r="C20" s="14">
        <f>B20/2.54</f>
        <v>11.30434782608696</v>
      </c>
      <c r="D20" s="11">
        <f>10*(1.008+(LN((F10*F9)/C20^2)/2.3026))-J20-K20</f>
        <v>22.011694729761274</v>
      </c>
      <c r="E20" s="14">
        <f>D20-2.15</f>
        <v>19.861694729761275</v>
      </c>
      <c r="F20" s="11">
        <f>51*C20/F9</f>
        <v>12.811594202898554</v>
      </c>
      <c r="G20" s="11">
        <f>70*C20/F10</f>
        <v>14.1304347826087</v>
      </c>
      <c r="J20" s="9">
        <f>(16.31*(F9*(F9-F7)/(8*C20*F11))^(2.02))</f>
        <v>0.4719820727881875</v>
      </c>
      <c r="K20" s="9">
        <f>(5.55*(F10*(F10-F8)/(8*C20*F12))^(1.7))</f>
        <v>0.5453345339080765</v>
      </c>
      <c r="L20" s="11"/>
    </row>
    <row r="21" spans="1:12" ht="12.75">
      <c r="A21" s="13">
        <f>(E15*1.15)+0.1*((E16)-(E15*1.2))</f>
        <v>1117.504542701393</v>
      </c>
      <c r="B21" s="4">
        <f aca="true" t="shared" si="1" ref="B21:B30">30000/A21</f>
        <v>26.84552845528456</v>
      </c>
      <c r="C21" s="14">
        <f aca="true" t="shared" si="2" ref="C21:C30">B21/2.54</f>
        <v>10.569105691056913</v>
      </c>
      <c r="D21" s="11">
        <f>10*(1.008+(LN((F10*F9)/C21^2)/2.3026))-J21-K21</f>
        <v>22.461107218096462</v>
      </c>
      <c r="E21" s="14">
        <f aca="true" t="shared" si="3" ref="E21:E30">D21-2.15</f>
        <v>20.311107218096463</v>
      </c>
      <c r="F21" s="11">
        <f>51*C21/F9</f>
        <v>11.978319783197835</v>
      </c>
      <c r="G21" s="11">
        <f>70*C21/F10</f>
        <v>13.211382113821141</v>
      </c>
      <c r="J21" s="9">
        <f>16.31*(F9*(F9-F7)/(8*C21*F11))^2.02</f>
        <v>0.5406599386712113</v>
      </c>
      <c r="K21" s="9">
        <f>5.55*(F10*(F10-F8)/(8*C21*F12))^1.7</f>
        <v>0.6113858196548402</v>
      </c>
      <c r="L21" s="11"/>
    </row>
    <row r="22" spans="1:12" ht="12.75">
      <c r="A22" s="13">
        <f>(E15*1.15)+0.2*((E16)-(E15*1.2))</f>
        <v>1190.1877649909143</v>
      </c>
      <c r="B22" s="4">
        <f t="shared" si="1"/>
        <v>25.206106870229014</v>
      </c>
      <c r="C22" s="14">
        <f t="shared" si="2"/>
        <v>9.923664122137406</v>
      </c>
      <c r="D22" s="11">
        <f>10*(1.008+(LN((F10*F9)/C22^2)/2.3026))-J22-K22</f>
        <v>22.865907639194795</v>
      </c>
      <c r="E22" s="14">
        <f t="shared" si="3"/>
        <v>20.715907639194796</v>
      </c>
      <c r="F22" s="11">
        <f>51*C22/F9</f>
        <v>11.246819338422394</v>
      </c>
      <c r="G22" s="11">
        <f>70*C22/F10</f>
        <v>12.404580152671757</v>
      </c>
      <c r="J22" s="9">
        <f>16.31*(F9*(F9-F7)/(8*C22*F11))^2.02</f>
        <v>0.61405020816265</v>
      </c>
      <c r="K22" s="9">
        <f>5.55*(F10*(F10-F8)/(8*C22*F12))^1.7</f>
        <v>0.6805152700251463</v>
      </c>
      <c r="L22" s="11"/>
    </row>
    <row r="23" spans="1:12" ht="12.75">
      <c r="A23" s="13">
        <f>(E15*1.15)+0.3*((E16)-(E15*1.2))</f>
        <v>1262.8709872804357</v>
      </c>
      <c r="B23" s="4">
        <f t="shared" si="1"/>
        <v>23.755395683453244</v>
      </c>
      <c r="C23" s="14">
        <f t="shared" si="2"/>
        <v>9.352517985611513</v>
      </c>
      <c r="D23" s="11">
        <f>10*(1.008+(LN((F10*F9)/C23^2)/2.3026))-J23-K23</f>
        <v>23.230515855342034</v>
      </c>
      <c r="E23" s="14">
        <f t="shared" si="3"/>
        <v>21.080515855342036</v>
      </c>
      <c r="F23" s="11">
        <f>51*C23/F9</f>
        <v>10.599520383693049</v>
      </c>
      <c r="G23" s="11">
        <f>70*C23/F10</f>
        <v>11.690647482014393</v>
      </c>
      <c r="J23" s="9">
        <f>16.31*(F9*(F9-F7)/(8*C23*F11))^2.02</f>
        <v>0.692158827723395</v>
      </c>
      <c r="K23" s="9">
        <f>5.55*(F10*(F10-F8)/(8*C23*F12))^1.7</f>
        <v>0.7526651930207185</v>
      </c>
      <c r="L23" s="11"/>
    </row>
    <row r="24" spans="1:12" ht="12.75">
      <c r="A24" s="13">
        <f>(E15*1.15)+0.4*((E16)-(E15*1.2))</f>
        <v>1335.5542095699573</v>
      </c>
      <c r="B24" s="4">
        <f t="shared" si="1"/>
        <v>22.46258503401361</v>
      </c>
      <c r="C24" s="14">
        <f t="shared" si="2"/>
        <v>8.843537414965988</v>
      </c>
      <c r="D24" s="11">
        <f>10*(1.008+(LN((F10*F9)/C24^2)/2.3026))-J24-K24</f>
        <v>23.55861371150811</v>
      </c>
      <c r="E24" s="14">
        <f t="shared" si="3"/>
        <v>21.40861371150811</v>
      </c>
      <c r="F24" s="11">
        <f>51*C24/F9</f>
        <v>10.022675736961453</v>
      </c>
      <c r="G24" s="11">
        <f>70*C24/F10</f>
        <v>11.054421768707485</v>
      </c>
      <c r="J24" s="9">
        <f>16.31*(F9*(F9-F7)/(8*C24*F11))^2.02</f>
        <v>0.774991397647889</v>
      </c>
      <c r="K24" s="9">
        <f>5.55*(F10*(F10-F8)/(8*C24*F12))^1.7</f>
        <v>0.8277823101251869</v>
      </c>
      <c r="L24" s="11"/>
    </row>
    <row r="25" spans="1:12" ht="12.75">
      <c r="A25" s="13">
        <f>(E15*1.15)+0.5*((E16)-(E15*1.2))</f>
        <v>1408.2374318594789</v>
      </c>
      <c r="B25" s="4">
        <f t="shared" si="1"/>
        <v>21.303225806451618</v>
      </c>
      <c r="C25" s="14">
        <f t="shared" si="2"/>
        <v>8.38709677419355</v>
      </c>
      <c r="D25" s="11">
        <f>10*(1.008+(LN((F10*F9)/C25^2)/2.3026))-J25-K25</f>
        <v>23.853301305546335</v>
      </c>
      <c r="E25" s="14">
        <f t="shared" si="3"/>
        <v>21.703301305546336</v>
      </c>
      <c r="F25" s="11">
        <f>51*C25/F9</f>
        <v>9.505376344086024</v>
      </c>
      <c r="G25" s="11">
        <f>70*C25/F10</f>
        <v>10.483870967741938</v>
      </c>
      <c r="J25" s="9">
        <f>16.31*(F9*(F9-F7)/(8*C25*F11))^2.02</f>
        <v>0.8625532105263136</v>
      </c>
      <c r="K25" s="9">
        <f>5.55*(F10*(F10-F8)/(8*C25*F12))^1.7</f>
        <v>0.9058171917563533</v>
      </c>
      <c r="L25" s="11"/>
    </row>
    <row r="26" spans="1:12" ht="12.75">
      <c r="A26" s="13">
        <f>(E15*1.15)+0.6*((E16)-(E15*1.2))</f>
        <v>1480.9206541490003</v>
      </c>
      <c r="B26" s="4">
        <f t="shared" si="1"/>
        <v>20.257668711656446</v>
      </c>
      <c r="C26" s="14">
        <f t="shared" si="2"/>
        <v>7.975460122699388</v>
      </c>
      <c r="D26" s="11">
        <f>10*(1.008+(LN((F10*F9)/C26^2)/2.3026))-J26-K26</f>
        <v>24.117213928060124</v>
      </c>
      <c r="E26" s="14">
        <f t="shared" si="3"/>
        <v>21.967213928060126</v>
      </c>
      <c r="F26" s="11">
        <f>51*C26/F9</f>
        <v>9.038854805725974</v>
      </c>
      <c r="G26" s="11">
        <f>70*C26/F10</f>
        <v>9.969325153374237</v>
      </c>
      <c r="J26" s="9">
        <f>16.31*(F9*(F9-F7)/(8*C26*F11))^2.02</f>
        <v>0.9548492836123668</v>
      </c>
      <c r="K26" s="9">
        <f>5.55*(F10*(F10-F8)/(8*C26*F12))^1.7</f>
        <v>0.9867237909321166</v>
      </c>
      <c r="L26" s="11"/>
    </row>
    <row r="27" spans="1:12" ht="12.75">
      <c r="A27" s="13">
        <f>(E15*1.15)+0.7*((E16)-(E15*1.2))</f>
        <v>1553.6038764385216</v>
      </c>
      <c r="B27" s="4">
        <f t="shared" si="1"/>
        <v>19.30994152046784</v>
      </c>
      <c r="C27" s="14">
        <f t="shared" si="2"/>
        <v>7.602339181286552</v>
      </c>
      <c r="D27" s="11">
        <f>10*(1.008+(LN((F10*F9)/C27^2)/2.3026))-J27-K27</f>
        <v>24.35261098777659</v>
      </c>
      <c r="E27" s="14">
        <f t="shared" si="3"/>
        <v>22.20261098777659</v>
      </c>
      <c r="F27" s="11">
        <f>51*C27/F9</f>
        <v>8.615984405458091</v>
      </c>
      <c r="G27" s="11">
        <f>70*C27/F10</f>
        <v>9.502923976608189</v>
      </c>
      <c r="J27" s="9">
        <f>16.31*(F9*(F9-F7)/(8*C27*F11))^2.02</f>
        <v>1.0518843863220304</v>
      </c>
      <c r="K27" s="9">
        <f>5.55*(F10*(F10-F8)/(8*C27*F12))^1.7</f>
        <v>1.0704590539893326</v>
      </c>
      <c r="L27" s="11"/>
    </row>
    <row r="28" spans="1:12" ht="12.75">
      <c r="A28" s="13">
        <f>(E15*1.15)+0.8*((E16)-(E15*1.2))</f>
        <v>1626.2870987280432</v>
      </c>
      <c r="B28" s="4">
        <f t="shared" si="1"/>
        <v>18.44692737430168</v>
      </c>
      <c r="C28" s="14">
        <f t="shared" si="2"/>
        <v>7.262569832402236</v>
      </c>
      <c r="D28" s="11">
        <f>10*(1.008+(LN((F10*F9)/C28^2)/2.3026))-J28-K28</f>
        <v>24.561444612429185</v>
      </c>
      <c r="E28" s="14">
        <f t="shared" si="3"/>
        <v>22.411444612429186</v>
      </c>
      <c r="F28" s="11">
        <f>51*C28/F9</f>
        <v>8.230912476722535</v>
      </c>
      <c r="G28" s="11">
        <f>70*C28/F10</f>
        <v>9.078212290502796</v>
      </c>
      <c r="J28" s="9">
        <f>16.31*(F9*(F9-F7)/(8*C28*F11))^2.02</f>
        <v>1.1536630637950716</v>
      </c>
      <c r="K28" s="9">
        <f>5.55*(F10*(F10-F8)/(8*C28*F12))^1.7</f>
        <v>1.1569825925489683</v>
      </c>
      <c r="L28" s="11"/>
    </row>
    <row r="29" spans="1:12" ht="12.75">
      <c r="A29" s="13">
        <f>(E15*1.15)+0.9*((E16)-(E15*1.2))</f>
        <v>1698.9703210175649</v>
      </c>
      <c r="B29" s="4">
        <f t="shared" si="1"/>
        <v>17.65775401069519</v>
      </c>
      <c r="C29" s="14">
        <f t="shared" si="2"/>
        <v>6.951871657754012</v>
      </c>
      <c r="D29" s="11">
        <f>10*(1.008+(LN((F10*F9)/C29^2)/2.3026))-J29-K29</f>
        <v>24.745413259293514</v>
      </c>
      <c r="E29" s="14">
        <f t="shared" si="3"/>
        <v>22.595413259293515</v>
      </c>
      <c r="F29" s="11">
        <f>51*C29/F9</f>
        <v>7.878787878787881</v>
      </c>
      <c r="G29" s="11">
        <f>70*C29/F10</f>
        <v>8.689839572192515</v>
      </c>
      <c r="J29" s="9">
        <f>16.31*(F9*(F9-F7)/(8*C29*F11))^2.02</f>
        <v>1.2601896572380555</v>
      </c>
      <c r="K29" s="9">
        <f>5.55*(F10*(F10-F8)/(8*C29*F12))^1.7</f>
        <v>1.2462564047373683</v>
      </c>
      <c r="L29" s="11"/>
    </row>
    <row r="30" spans="1:12" ht="12.75">
      <c r="A30" s="13">
        <f>E16</f>
        <v>1817.0805572380373</v>
      </c>
      <c r="B30" s="4">
        <f t="shared" si="1"/>
        <v>16.51</v>
      </c>
      <c r="C30" s="14">
        <f t="shared" si="2"/>
        <v>6.500000000000001</v>
      </c>
      <c r="D30" s="11">
        <f>10*(1.008+(LN((F10*F9)/C30^2)/2.3026))-J30-K30</f>
        <v>24.995090345981318</v>
      </c>
      <c r="E30" s="14">
        <f t="shared" si="3"/>
        <v>22.84509034598132</v>
      </c>
      <c r="F30" s="11">
        <f>51*C30/F9</f>
        <v>7.366666666666668</v>
      </c>
      <c r="G30" s="11">
        <f>70*C30/F10</f>
        <v>8.125000000000002</v>
      </c>
      <c r="J30" s="9">
        <f>16.31*(F9*(F9-F7)/(8*C30*F11))^2.02</f>
        <v>1.4434324248705912</v>
      </c>
      <c r="K30" s="9">
        <f>5.55*(F10*(F10-F8)/(8*C30*F12))^1.7</f>
        <v>1.3971005536607577</v>
      </c>
      <c r="L30" s="11"/>
    </row>
    <row r="32" spans="1:3" ht="12.75">
      <c r="A32" s="3" t="s">
        <v>31</v>
      </c>
      <c r="C32" s="15" t="s">
        <v>32</v>
      </c>
    </row>
    <row r="33" spans="3:14" ht="12.75">
      <c r="C33" s="16" t="s">
        <v>44</v>
      </c>
      <c r="M33" s="17" t="s">
        <v>45</v>
      </c>
      <c r="N33" s="18">
        <v>38042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SETI League,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Paul Shuch</dc:creator>
  <cp:keywords/>
  <dc:description/>
  <cp:lastModifiedBy>H. Paul Shuch</cp:lastModifiedBy>
  <cp:lastPrinted>2004-02-25T16:15:42Z</cp:lastPrinted>
  <dcterms:created xsi:type="dcterms:W3CDTF">2003-01-07T20:48:51Z</dcterms:created>
  <dcterms:modified xsi:type="dcterms:W3CDTF">2004-02-25T16:15:50Z</dcterms:modified>
  <cp:category/>
  <cp:version/>
  <cp:contentType/>
  <cp:contentStatus/>
</cp:coreProperties>
</file>